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onghi\Desktop\Bando di concorso 3\"/>
    </mc:Choice>
  </mc:AlternateContent>
  <bookViews>
    <workbookView xWindow="0" yWindow="0" windowWidth="19200" windowHeight="6465" activeTab="4"/>
  </bookViews>
  <sheets>
    <sheet name="MC" sheetId="4" r:id="rId1"/>
    <sheet name="Esercizio 3" sheetId="5" r:id="rId2"/>
    <sheet name="Esercizio 4" sheetId="3" r:id="rId3"/>
    <sheet name="Esercizio 7" sheetId="2" r:id="rId4"/>
    <sheet name="Esercizio 6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8" i="6" l="1"/>
  <c r="I66" i="6"/>
  <c r="N29" i="2" l="1"/>
  <c r="J29" i="2"/>
  <c r="N28" i="2" l="1"/>
  <c r="M7" i="2"/>
  <c r="N7" i="2"/>
  <c r="O7" i="2" s="1"/>
  <c r="O12" i="2"/>
  <c r="P12" i="2" s="1"/>
  <c r="O15" i="2"/>
  <c r="P15" i="2" s="1"/>
  <c r="L24" i="2"/>
  <c r="L20" i="2"/>
  <c r="L8" i="2"/>
  <c r="L9" i="2"/>
  <c r="L10" i="2"/>
  <c r="L11" i="2"/>
  <c r="L12" i="2"/>
  <c r="L13" i="2"/>
  <c r="L14" i="2"/>
  <c r="L15" i="2"/>
  <c r="L16" i="2"/>
  <c r="L17" i="2"/>
  <c r="L18" i="2"/>
  <c r="L19" i="2"/>
  <c r="L7" i="2"/>
  <c r="K22" i="2"/>
  <c r="K20" i="2"/>
  <c r="K8" i="2"/>
  <c r="K9" i="2"/>
  <c r="K10" i="2"/>
  <c r="K11" i="2"/>
  <c r="K12" i="2"/>
  <c r="K13" i="2"/>
  <c r="K14" i="2"/>
  <c r="K15" i="2"/>
  <c r="K16" i="2"/>
  <c r="K17" i="2"/>
  <c r="K18" i="2"/>
  <c r="K19" i="2"/>
  <c r="K7" i="2"/>
  <c r="J8" i="2"/>
  <c r="J9" i="2"/>
  <c r="J10" i="2"/>
  <c r="J11" i="2"/>
  <c r="J12" i="2"/>
  <c r="J13" i="2"/>
  <c r="J14" i="2"/>
  <c r="J15" i="2"/>
  <c r="J16" i="2"/>
  <c r="J17" i="2"/>
  <c r="J18" i="2"/>
  <c r="J19" i="2"/>
  <c r="J7" i="2"/>
  <c r="I21" i="2"/>
  <c r="I20" i="2"/>
  <c r="Q27" i="3"/>
  <c r="R28" i="3"/>
  <c r="O15" i="3"/>
  <c r="O14" i="3"/>
  <c r="J15" i="3"/>
  <c r="S21" i="5"/>
  <c r="N14" i="5"/>
  <c r="N13" i="5"/>
  <c r="L14" i="5" s="1"/>
  <c r="U14" i="5"/>
  <c r="P7" i="2" l="1"/>
  <c r="Q7" i="2"/>
  <c r="O19" i="2"/>
  <c r="O11" i="2"/>
  <c r="O17" i="2"/>
  <c r="O9" i="2"/>
  <c r="O14" i="2"/>
  <c r="O16" i="2"/>
  <c r="O8" i="2"/>
  <c r="Q15" i="2"/>
  <c r="O13" i="2"/>
  <c r="O18" i="2"/>
  <c r="Q12" i="2"/>
  <c r="O10" i="2"/>
  <c r="L15" i="5"/>
  <c r="N15" i="5" s="1"/>
  <c r="M17" i="5"/>
  <c r="M16" i="5"/>
  <c r="P14" i="2" l="1"/>
  <c r="Q14" i="2"/>
  <c r="P8" i="2"/>
  <c r="Q8" i="2"/>
  <c r="Q9" i="2"/>
  <c r="P9" i="2"/>
  <c r="Q16" i="2"/>
  <c r="P16" i="2"/>
  <c r="P10" i="2"/>
  <c r="Q10" i="2"/>
  <c r="Q17" i="2"/>
  <c r="P17" i="2"/>
  <c r="P18" i="2"/>
  <c r="Q18" i="2"/>
  <c r="P11" i="2"/>
  <c r="P20" i="2" s="1"/>
  <c r="P21" i="2" s="1"/>
  <c r="P22" i="2" s="1"/>
  <c r="Q11" i="2"/>
  <c r="Q20" i="2" s="1"/>
  <c r="Q21" i="2" s="1"/>
  <c r="Q22" i="2" s="1"/>
  <c r="P13" i="2"/>
  <c r="Q13" i="2"/>
  <c r="P19" i="2"/>
  <c r="Q19" i="2"/>
  <c r="L16" i="5"/>
  <c r="N16" i="5" s="1"/>
  <c r="L17" i="5" l="1"/>
  <c r="N17" i="5" s="1"/>
  <c r="K27" i="3"/>
  <c r="K23" i="2" l="1"/>
  <c r="N18" i="5" l="1"/>
  <c r="R15" i="2"/>
  <c r="R9" i="2" l="1"/>
  <c r="R10" i="2" s="1"/>
  <c r="R11" i="2"/>
  <c r="R12" i="2" s="1"/>
  <c r="L18" i="5"/>
</calcChain>
</file>

<file path=xl/sharedStrings.xml><?xml version="1.0" encoding="utf-8"?>
<sst xmlns="http://schemas.openxmlformats.org/spreadsheetml/2006/main" count="61" uniqueCount="59">
  <si>
    <t>inferiore</t>
  </si>
  <si>
    <t>0,5-meno valore di z</t>
  </si>
  <si>
    <t>maggiore</t>
  </si>
  <si>
    <t xml:space="preserve">Domanda </t>
  </si>
  <si>
    <t xml:space="preserve">IQR </t>
  </si>
  <si>
    <t>media &lt; mediana</t>
  </si>
  <si>
    <t>asimmetrica a destra</t>
  </si>
  <si>
    <t>Anni</t>
  </si>
  <si>
    <t>Interessi</t>
  </si>
  <si>
    <t>Cap. composta</t>
  </si>
  <si>
    <t>Capitale = 2.000</t>
  </si>
  <si>
    <t>Capitale</t>
  </si>
  <si>
    <t>Montante</t>
  </si>
  <si>
    <t>Tassi</t>
  </si>
  <si>
    <t>i medio</t>
  </si>
  <si>
    <t>(0,023*0,031*0,027*0,024*0,037)^(1/5)</t>
  </si>
  <si>
    <t>i medio = (M/C)^(1/5)-1</t>
  </si>
  <si>
    <r>
      <rPr>
        <b/>
        <sz val="11"/>
        <color theme="1"/>
        <rFont val="Calibri"/>
        <family val="2"/>
        <scheme val="minor"/>
      </rPr>
      <t>i medio</t>
    </r>
    <r>
      <rPr>
        <sz val="11"/>
        <color theme="1"/>
        <rFont val="Calibri"/>
        <family val="2"/>
        <scheme val="minor"/>
      </rPr>
      <t xml:space="preserve"> = (M/C)^(1/5)-1</t>
    </r>
  </si>
  <si>
    <r>
      <rPr>
        <b/>
        <sz val="11"/>
        <color theme="1"/>
        <rFont val="Calibri"/>
        <family val="2"/>
        <scheme val="minor"/>
      </rPr>
      <t>Montante</t>
    </r>
    <r>
      <rPr>
        <sz val="11"/>
        <color theme="1"/>
        <rFont val="Calibri"/>
        <family val="2"/>
        <scheme val="minor"/>
      </rPr>
      <t xml:space="preserve"> = 2000*(1+0,028)^5 = 2.297</t>
    </r>
  </si>
  <si>
    <t>N=14</t>
  </si>
  <si>
    <t>Mediana = 0,5*14 = 7 quindi valore medio tra 7 e 8 = 215,9</t>
  </si>
  <si>
    <t>Q1</t>
  </si>
  <si>
    <t>Q3</t>
  </si>
  <si>
    <t>Q1 = 0,25*14 = 3,5 quindi posizione 4 = 175</t>
  </si>
  <si>
    <t>Q3 = 0,75*14 = 10,5 quindi poszione 11 = 628,3</t>
  </si>
  <si>
    <t>IQR = 628,3-175 = 453,3</t>
  </si>
  <si>
    <t>Outlier = 175-1,5*(453,3)</t>
  </si>
  <si>
    <t>Outlier = 628,3+,5*(453,3)</t>
  </si>
  <si>
    <t xml:space="preserve">Prezzo finale </t>
  </si>
  <si>
    <t>Prezzo iniziale</t>
  </si>
  <si>
    <t>sul periodo totale dei 5 anni</t>
  </si>
  <si>
    <t xml:space="preserve"> = (M/C)-1</t>
  </si>
  <si>
    <t>quindi unico oulier = 2015</t>
  </si>
  <si>
    <t>Valori</t>
  </si>
  <si>
    <t>Somma</t>
  </si>
  <si>
    <t>Media</t>
  </si>
  <si>
    <t>xi-μ</t>
  </si>
  <si>
    <t>(xi-μ)^2</t>
  </si>
  <si>
    <t>Dev std</t>
  </si>
  <si>
    <t>(xi-μ)^3</t>
  </si>
  <si>
    <t>Indice di Fisher</t>
  </si>
  <si>
    <t>Probabilità che il valore sia &lt; 164mln</t>
  </si>
  <si>
    <t>(164-177)/30,37</t>
  </si>
  <si>
    <t>=177+1,65*30,37</t>
  </si>
  <si>
    <t>z-score corrspondente al 5%</t>
  </si>
  <si>
    <t xml:space="preserve"> '=50%-16,64%</t>
  </si>
  <si>
    <t>= 30,51%</t>
  </si>
  <si>
    <t>P 0 ≤ z ≤ 0,86</t>
  </si>
  <si>
    <t>P -1,98 ≤ z ≤ 0,49</t>
  </si>
  <si>
    <t>=18,79%+47,61%</t>
  </si>
  <si>
    <t>80° percentile = 0,84</t>
  </si>
  <si>
    <t>calcolare P (z ≥ - 0,23) e P (z ≤ - 0,23) usando entrambe le tavole</t>
  </si>
  <si>
    <t>P (z ≤ - 0,23)</t>
  </si>
  <si>
    <t>nella 1 tavola a cui aggiungo 0,50 = 0,591 0 59,10%</t>
  </si>
  <si>
    <t>P (z ≥ - 0,23)</t>
  </si>
  <si>
    <t>= 1-0,4090</t>
  </si>
  <si>
    <t>Nella seconda tavola trovo l'area di 0,4090</t>
  </si>
  <si>
    <t>Se uso la prima tavola farò la sottrazione 1-0,091 = 0,409</t>
  </si>
  <si>
    <t>Nella seconda tavola trovo il valore di 0,409 che va sottratto all'area totale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</si>
</sst>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4" fontId="0" fillId="0" borderId="0" xfId="0" applyNumberFormat="1" applyFill="1" applyBorder="1"/>
    <xf numFmtId="4" fontId="0" fillId="0" borderId="0" xfId="0" applyNumberFormat="1"/>
    <xf numFmtId="0" fontId="2" fillId="0" borderId="7" xfId="0" applyFont="1" applyBorder="1" applyAlignment="1">
      <alignment horizontal="center"/>
    </xf>
    <xf numFmtId="4" fontId="0" fillId="0" borderId="3" xfId="0" applyNumberFormat="1" applyBorder="1"/>
    <xf numFmtId="2" fontId="0" fillId="0" borderId="0" xfId="0" applyNumberFormat="1"/>
    <xf numFmtId="4" fontId="2" fillId="0" borderId="0" xfId="0" applyNumberFormat="1" applyFont="1"/>
    <xf numFmtId="2" fontId="0" fillId="0" borderId="7" xfId="0" applyNumberFormat="1" applyBorder="1"/>
    <xf numFmtId="2" fontId="0" fillId="0" borderId="4" xfId="0" applyNumberFormat="1" applyBorder="1"/>
    <xf numFmtId="2" fontId="0" fillId="0" borderId="6" xfId="0" applyNumberFormat="1" applyBorder="1"/>
    <xf numFmtId="4" fontId="0" fillId="0" borderId="8" xfId="0" applyNumberFormat="1" applyBorder="1"/>
    <xf numFmtId="4" fontId="0" fillId="0" borderId="5" xfId="0" applyNumberFormat="1" applyBorder="1"/>
    <xf numFmtId="164" fontId="0" fillId="0" borderId="0" xfId="0" applyNumberFormat="1"/>
    <xf numFmtId="0" fontId="0" fillId="0" borderId="8" xfId="0" applyBorder="1"/>
    <xf numFmtId="0" fontId="0" fillId="0" borderId="3" xfId="0" applyBorder="1"/>
    <xf numFmtId="0" fontId="0" fillId="0" borderId="5" xfId="0" applyBorder="1"/>
    <xf numFmtId="164" fontId="2" fillId="0" borderId="0" xfId="0" applyNumberFormat="1" applyFont="1"/>
    <xf numFmtId="0" fontId="0" fillId="0" borderId="0" xfId="0" applyFill="1"/>
    <xf numFmtId="2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" xfId="0" applyFont="1" applyBorder="1"/>
    <xf numFmtId="3" fontId="0" fillId="0" borderId="4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2" fillId="0" borderId="0" xfId="0" applyFont="1" applyFill="1" applyBorder="1"/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0" fontId="0" fillId="0" borderId="0" xfId="0" applyNumberFormat="1"/>
    <xf numFmtId="0" fontId="0" fillId="0" borderId="0" xfId="0" quotePrefix="1"/>
    <xf numFmtId="1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25</xdr:row>
      <xdr:rowOff>158750</xdr:rowOff>
    </xdr:from>
    <xdr:to>
      <xdr:col>19</xdr:col>
      <xdr:colOff>276704</xdr:colOff>
      <xdr:row>29</xdr:row>
      <xdr:rowOff>73508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1000" y="4762500"/>
          <a:ext cx="1781654" cy="651358"/>
        </a:xfrm>
        <a:prstGeom prst="rect">
          <a:avLst/>
        </a:prstGeom>
      </xdr:spPr>
    </xdr:pic>
    <xdr:clientData/>
  </xdr:twoCellAnchor>
  <xdr:twoCellAnchor editAs="oneCell">
    <xdr:from>
      <xdr:col>10</xdr:col>
      <xdr:colOff>590550</xdr:colOff>
      <xdr:row>30</xdr:row>
      <xdr:rowOff>82550</xdr:rowOff>
    </xdr:from>
    <xdr:to>
      <xdr:col>17</xdr:col>
      <xdr:colOff>25757</xdr:colOff>
      <xdr:row>50</xdr:row>
      <xdr:rowOff>81853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50100" y="5607050"/>
          <a:ext cx="4115157" cy="3682303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13</xdr:col>
      <xdr:colOff>107950</xdr:colOff>
      <xdr:row>33</xdr:row>
      <xdr:rowOff>158750</xdr:rowOff>
    </xdr:from>
    <xdr:to>
      <xdr:col>13</xdr:col>
      <xdr:colOff>501650</xdr:colOff>
      <xdr:row>34</xdr:row>
      <xdr:rowOff>146050</xdr:rowOff>
    </xdr:to>
    <xdr:sp macro="" textlink="">
      <xdr:nvSpPr>
        <xdr:cNvPr id="4" name="Ovale 3"/>
        <xdr:cNvSpPr/>
      </xdr:nvSpPr>
      <xdr:spPr>
        <a:xfrm>
          <a:off x="8496300" y="6235700"/>
          <a:ext cx="393700" cy="1714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247650</xdr:colOff>
      <xdr:row>41</xdr:row>
      <xdr:rowOff>63500</xdr:rowOff>
    </xdr:from>
    <xdr:to>
      <xdr:col>14</xdr:col>
      <xdr:colOff>641350</xdr:colOff>
      <xdr:row>42</xdr:row>
      <xdr:rowOff>50800</xdr:rowOff>
    </xdr:to>
    <xdr:sp macro="" textlink="">
      <xdr:nvSpPr>
        <xdr:cNvPr id="5" name="Ovale 4"/>
        <xdr:cNvSpPr/>
      </xdr:nvSpPr>
      <xdr:spPr>
        <a:xfrm>
          <a:off x="9302750" y="7613650"/>
          <a:ext cx="393700" cy="1714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14</xdr:col>
      <xdr:colOff>481943</xdr:colOff>
      <xdr:row>26</xdr:row>
      <xdr:rowOff>23689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104900"/>
          <a:ext cx="4139543" cy="3706689"/>
        </a:xfrm>
        <a:prstGeom prst="rect">
          <a:avLst/>
        </a:prstGeom>
      </xdr:spPr>
    </xdr:pic>
    <xdr:clientData/>
  </xdr:twoCellAnchor>
  <xdr:twoCellAnchor editAs="oneCell">
    <xdr:from>
      <xdr:col>6</xdr:col>
      <xdr:colOff>12700</xdr:colOff>
      <xdr:row>1</xdr:row>
      <xdr:rowOff>88901</xdr:rowOff>
    </xdr:from>
    <xdr:to>
      <xdr:col>8</xdr:col>
      <xdr:colOff>286817</xdr:colOff>
      <xdr:row>4</xdr:row>
      <xdr:rowOff>165101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70300" y="273051"/>
          <a:ext cx="1715567" cy="628650"/>
        </a:xfrm>
        <a:prstGeom prst="rect">
          <a:avLst/>
        </a:prstGeom>
      </xdr:spPr>
    </xdr:pic>
    <xdr:clientData/>
  </xdr:twoCellAnchor>
  <xdr:twoCellAnchor>
    <xdr:from>
      <xdr:col>12</xdr:col>
      <xdr:colOff>114300</xdr:colOff>
      <xdr:row>11</xdr:row>
      <xdr:rowOff>171450</xdr:rowOff>
    </xdr:from>
    <xdr:to>
      <xdr:col>12</xdr:col>
      <xdr:colOff>508000</xdr:colOff>
      <xdr:row>12</xdr:row>
      <xdr:rowOff>158750</xdr:rowOff>
    </xdr:to>
    <xdr:sp macro="" textlink="">
      <xdr:nvSpPr>
        <xdr:cNvPr id="4" name="Ovale 3"/>
        <xdr:cNvSpPr/>
      </xdr:nvSpPr>
      <xdr:spPr>
        <a:xfrm>
          <a:off x="7537450" y="2197100"/>
          <a:ext cx="393700" cy="1714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57150</xdr:colOff>
      <xdr:row>9</xdr:row>
      <xdr:rowOff>82550</xdr:rowOff>
    </xdr:from>
    <xdr:to>
      <xdr:col>14</xdr:col>
      <xdr:colOff>450850</xdr:colOff>
      <xdr:row>10</xdr:row>
      <xdr:rowOff>69850</xdr:rowOff>
    </xdr:to>
    <xdr:sp macro="" textlink="">
      <xdr:nvSpPr>
        <xdr:cNvPr id="5" name="Ovale 4"/>
        <xdr:cNvSpPr/>
      </xdr:nvSpPr>
      <xdr:spPr>
        <a:xfrm>
          <a:off x="8813800" y="1739900"/>
          <a:ext cx="393700" cy="1714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285750</xdr:colOff>
      <xdr:row>18</xdr:row>
      <xdr:rowOff>171450</xdr:rowOff>
    </xdr:from>
    <xdr:to>
      <xdr:col>14</xdr:col>
      <xdr:colOff>69850</xdr:colOff>
      <xdr:row>19</xdr:row>
      <xdr:rowOff>158750</xdr:rowOff>
    </xdr:to>
    <xdr:sp macro="" textlink="">
      <xdr:nvSpPr>
        <xdr:cNvPr id="6" name="Ovale 5"/>
        <xdr:cNvSpPr/>
      </xdr:nvSpPr>
      <xdr:spPr>
        <a:xfrm>
          <a:off x="8432800" y="3486150"/>
          <a:ext cx="393700" cy="1714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546100</xdr:colOff>
      <xdr:row>11</xdr:row>
      <xdr:rowOff>171450</xdr:rowOff>
    </xdr:from>
    <xdr:to>
      <xdr:col>11</xdr:col>
      <xdr:colOff>330200</xdr:colOff>
      <xdr:row>12</xdr:row>
      <xdr:rowOff>158750</xdr:rowOff>
    </xdr:to>
    <xdr:sp macro="" textlink="">
      <xdr:nvSpPr>
        <xdr:cNvPr id="7" name="Ovale 6"/>
        <xdr:cNvSpPr/>
      </xdr:nvSpPr>
      <xdr:spPr>
        <a:xfrm>
          <a:off x="6864350" y="2197100"/>
          <a:ext cx="393700" cy="1714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222250</xdr:colOff>
      <xdr:row>40</xdr:row>
      <xdr:rowOff>6350</xdr:rowOff>
    </xdr:from>
    <xdr:to>
      <xdr:col>15</xdr:col>
      <xdr:colOff>19050</xdr:colOff>
      <xdr:row>60</xdr:row>
      <xdr:rowOff>20562</xdr:rowOff>
    </xdr:to>
    <xdr:pic>
      <xdr:nvPicPr>
        <xdr:cNvPr id="8" name="Immagin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1300" y="7372350"/>
          <a:ext cx="4064000" cy="3697212"/>
        </a:xfrm>
        <a:prstGeom prst="rect">
          <a:avLst/>
        </a:prstGeom>
      </xdr:spPr>
    </xdr:pic>
    <xdr:clientData/>
  </xdr:twoCellAnchor>
  <xdr:twoCellAnchor editAs="oneCell">
    <xdr:from>
      <xdr:col>7</xdr:col>
      <xdr:colOff>184150</xdr:colOff>
      <xdr:row>35</xdr:row>
      <xdr:rowOff>107950</xdr:rowOff>
    </xdr:from>
    <xdr:to>
      <xdr:col>8</xdr:col>
      <xdr:colOff>273050</xdr:colOff>
      <xdr:row>38</xdr:row>
      <xdr:rowOff>87630</xdr:rowOff>
    </xdr:to>
    <xdr:pic>
      <xdr:nvPicPr>
        <xdr:cNvPr id="9" name="Picture 2" descr="Tavole statistiche - Parte prima - Dispense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16" t="5033" r="22788" b="78630"/>
        <a:stretch/>
      </xdr:blipFill>
      <xdr:spPr bwMode="auto">
        <a:xfrm>
          <a:off x="4451350" y="6553200"/>
          <a:ext cx="920750" cy="532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114300</xdr:colOff>
      <xdr:row>8</xdr:row>
      <xdr:rowOff>31750</xdr:rowOff>
    </xdr:from>
    <xdr:to>
      <xdr:col>10</xdr:col>
      <xdr:colOff>508000</xdr:colOff>
      <xdr:row>9</xdr:row>
      <xdr:rowOff>19050</xdr:rowOff>
    </xdr:to>
    <xdr:sp macro="" textlink="">
      <xdr:nvSpPr>
        <xdr:cNvPr id="10" name="Ovale 9"/>
        <xdr:cNvSpPr/>
      </xdr:nvSpPr>
      <xdr:spPr>
        <a:xfrm>
          <a:off x="6432550" y="1504950"/>
          <a:ext cx="393700" cy="171450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0</xdr:colOff>
      <xdr:row>64</xdr:row>
      <xdr:rowOff>0</xdr:rowOff>
    </xdr:from>
    <xdr:to>
      <xdr:col>7</xdr:col>
      <xdr:colOff>793750</xdr:colOff>
      <xdr:row>66</xdr:row>
      <xdr:rowOff>120650</xdr:rowOff>
    </xdr:to>
    <xdr:sp macro="" textlink="">
      <xdr:nvSpPr>
        <xdr:cNvPr id="12" name="Ovale 11"/>
        <xdr:cNvSpPr/>
      </xdr:nvSpPr>
      <xdr:spPr>
        <a:xfrm>
          <a:off x="4267200" y="11785600"/>
          <a:ext cx="793750" cy="488950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419100</xdr:colOff>
      <xdr:row>58</xdr:row>
      <xdr:rowOff>0</xdr:rowOff>
    </xdr:from>
    <xdr:to>
      <xdr:col>11</xdr:col>
      <xdr:colOff>196850</xdr:colOff>
      <xdr:row>58</xdr:row>
      <xdr:rowOff>177800</xdr:rowOff>
    </xdr:to>
    <xdr:sp macro="" textlink="">
      <xdr:nvSpPr>
        <xdr:cNvPr id="13" name="Ovale 12"/>
        <xdr:cNvSpPr/>
      </xdr:nvSpPr>
      <xdr:spPr>
        <a:xfrm>
          <a:off x="6737350" y="10680700"/>
          <a:ext cx="387350" cy="177800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2:K13"/>
  <sheetViews>
    <sheetView workbookViewId="0">
      <selection activeCell="E44" sqref="E44"/>
    </sheetView>
  </sheetViews>
  <sheetFormatPr defaultRowHeight="15" x14ac:dyDescent="0.25"/>
  <cols>
    <col min="8" max="8" width="10.42578125" customWidth="1"/>
    <col min="9" max="9" width="10.85546875" customWidth="1"/>
    <col min="10" max="10" width="17.140625" customWidth="1"/>
    <col min="11" max="11" width="19.42578125" customWidth="1"/>
  </cols>
  <sheetData>
    <row r="12" spans="8:11" x14ac:dyDescent="0.25">
      <c r="H12" s="4" t="s">
        <v>3</v>
      </c>
      <c r="I12" s="4">
        <v>8</v>
      </c>
      <c r="J12" s="4">
        <v>9</v>
      </c>
      <c r="K12" s="4">
        <v>10</v>
      </c>
    </row>
    <row r="13" spans="8:11" x14ac:dyDescent="0.25">
      <c r="I13" s="3" t="s">
        <v>4</v>
      </c>
      <c r="J13" t="s">
        <v>5</v>
      </c>
      <c r="K13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U22"/>
  <sheetViews>
    <sheetView workbookViewId="0">
      <selection activeCell="P21" sqref="P21"/>
    </sheetView>
  </sheetViews>
  <sheetFormatPr defaultRowHeight="15" x14ac:dyDescent="0.25"/>
  <cols>
    <col min="7" max="7" width="14.140625" customWidth="1"/>
    <col min="8" max="8" width="12" customWidth="1"/>
    <col min="11" max="11" width="9.42578125" customWidth="1"/>
    <col min="12" max="12" width="11.5703125" customWidth="1"/>
    <col min="13" max="13" width="10.140625" customWidth="1"/>
    <col min="14" max="14" width="8.42578125" customWidth="1"/>
    <col min="15" max="15" width="11.85546875" bestFit="1" customWidth="1"/>
  </cols>
  <sheetData>
    <row r="7" spans="7:21" x14ac:dyDescent="0.25">
      <c r="R7">
        <v>100</v>
      </c>
    </row>
    <row r="9" spans="7:21" x14ac:dyDescent="0.25">
      <c r="G9" t="s">
        <v>9</v>
      </c>
      <c r="H9" t="s">
        <v>10</v>
      </c>
    </row>
    <row r="12" spans="7:21" x14ac:dyDescent="0.25">
      <c r="G12" s="5" t="s">
        <v>7</v>
      </c>
      <c r="H12" s="6" t="s">
        <v>13</v>
      </c>
      <c r="L12" s="12" t="s">
        <v>11</v>
      </c>
      <c r="M12" s="15" t="s">
        <v>13</v>
      </c>
      <c r="N12" s="15" t="s">
        <v>8</v>
      </c>
    </row>
    <row r="13" spans="7:21" x14ac:dyDescent="0.25">
      <c r="G13" s="7">
        <v>1</v>
      </c>
      <c r="H13" s="8">
        <v>2.2999999999999998</v>
      </c>
      <c r="L13" s="22">
        <v>2000</v>
      </c>
      <c r="M13" s="25">
        <v>2.3E-2</v>
      </c>
      <c r="N13" s="19">
        <f>TRUNC(L13*M13,0)</f>
        <v>46</v>
      </c>
    </row>
    <row r="14" spans="7:21" x14ac:dyDescent="0.25">
      <c r="G14" s="7">
        <v>2</v>
      </c>
      <c r="H14" s="8">
        <v>3.1</v>
      </c>
      <c r="L14" s="16">
        <f>L13+N13</f>
        <v>2046</v>
      </c>
      <c r="M14" s="26">
        <v>3.1E-2</v>
      </c>
      <c r="N14" s="20">
        <f t="shared" ref="N14:N17" si="0">TRUNC(L14*M14,0)</f>
        <v>63</v>
      </c>
      <c r="P14" s="11" t="s">
        <v>14</v>
      </c>
      <c r="Q14" t="s">
        <v>15</v>
      </c>
      <c r="U14" s="28">
        <f>(M13*M14*M15*M16*M17)^(1/5)</f>
        <v>2.7962323251439148E-2</v>
      </c>
    </row>
    <row r="15" spans="7:21" x14ac:dyDescent="0.25">
      <c r="G15" s="7">
        <v>3</v>
      </c>
      <c r="H15" s="8">
        <v>2.7</v>
      </c>
      <c r="L15" s="16">
        <f>L14+N14</f>
        <v>2109</v>
      </c>
      <c r="M15" s="26">
        <v>2.7000000000000003E-2</v>
      </c>
      <c r="N15" s="20">
        <f t="shared" si="0"/>
        <v>56</v>
      </c>
    </row>
    <row r="16" spans="7:21" x14ac:dyDescent="0.25">
      <c r="G16" s="7">
        <v>4</v>
      </c>
      <c r="H16" s="8">
        <v>2.4</v>
      </c>
      <c r="L16" s="16">
        <f>L15+N15</f>
        <v>2165</v>
      </c>
      <c r="M16" s="26">
        <f>(H16)/100</f>
        <v>2.4E-2</v>
      </c>
      <c r="N16" s="20">
        <f t="shared" si="0"/>
        <v>51</v>
      </c>
      <c r="P16" t="s">
        <v>18</v>
      </c>
    </row>
    <row r="17" spans="7:19" x14ac:dyDescent="0.25">
      <c r="G17" s="9">
        <v>5</v>
      </c>
      <c r="H17" s="10">
        <v>3.7</v>
      </c>
      <c r="L17" s="23">
        <f>L16+N16</f>
        <v>2216</v>
      </c>
      <c r="M17" s="27">
        <f>(H17)/100</f>
        <v>3.7000000000000005E-2</v>
      </c>
      <c r="N17" s="21">
        <f t="shared" si="0"/>
        <v>81</v>
      </c>
    </row>
    <row r="18" spans="7:19" x14ac:dyDescent="0.25">
      <c r="K18" s="11" t="s">
        <v>12</v>
      </c>
      <c r="L18" s="18">
        <f>L17+N17</f>
        <v>2297</v>
      </c>
      <c r="N18" s="17">
        <f>SUM(N13:N17)</f>
        <v>297</v>
      </c>
    </row>
    <row r="20" spans="7:19" x14ac:dyDescent="0.25">
      <c r="L20" s="13"/>
      <c r="M20" s="14"/>
      <c r="N20" s="14"/>
    </row>
    <row r="21" spans="7:19" x14ac:dyDescent="0.25">
      <c r="P21" t="s">
        <v>17</v>
      </c>
      <c r="S21" s="28">
        <f>(L18/L13)^(1/5)-1</f>
        <v>2.8078317664274266E-2</v>
      </c>
    </row>
    <row r="22" spans="7:19" x14ac:dyDescent="0.25">
      <c r="M22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9:R28"/>
  <sheetViews>
    <sheetView topLeftCell="A4" workbookViewId="0">
      <selection activeCell="Q27" sqref="Q27"/>
    </sheetView>
  </sheetViews>
  <sheetFormatPr defaultRowHeight="15" x14ac:dyDescent="0.25"/>
  <cols>
    <col min="11" max="11" width="11.7109375" customWidth="1"/>
    <col min="12" max="12" width="12.85546875" customWidth="1"/>
    <col min="16" max="16" width="6.5703125" customWidth="1"/>
    <col min="17" max="17" width="9.28515625" customWidth="1"/>
    <col min="18" max="18" width="6.7109375" customWidth="1"/>
    <col min="20" max="20" width="11.85546875" bestFit="1" customWidth="1"/>
  </cols>
  <sheetData>
    <row r="9" spans="9:16" x14ac:dyDescent="0.25">
      <c r="I9">
        <v>62.2</v>
      </c>
      <c r="L9" t="s">
        <v>19</v>
      </c>
    </row>
    <row r="10" spans="9:16" x14ac:dyDescent="0.25">
      <c r="I10">
        <v>93.4</v>
      </c>
      <c r="L10" t="s">
        <v>20</v>
      </c>
    </row>
    <row r="11" spans="9:16" x14ac:dyDescent="0.25">
      <c r="I11">
        <v>113</v>
      </c>
      <c r="L11" t="s">
        <v>23</v>
      </c>
    </row>
    <row r="12" spans="9:16" x14ac:dyDescent="0.25">
      <c r="I12" s="1">
        <v>175</v>
      </c>
      <c r="J12" s="4" t="s">
        <v>21</v>
      </c>
      <c r="L12" t="s">
        <v>24</v>
      </c>
    </row>
    <row r="13" spans="9:16" x14ac:dyDescent="0.25">
      <c r="I13">
        <v>211</v>
      </c>
      <c r="L13" t="s">
        <v>25</v>
      </c>
    </row>
    <row r="14" spans="9:16" x14ac:dyDescent="0.25">
      <c r="I14" s="29">
        <v>212.5</v>
      </c>
      <c r="L14" t="s">
        <v>26</v>
      </c>
      <c r="O14">
        <f>I12-1.5*453.3</f>
        <v>-504.95000000000005</v>
      </c>
    </row>
    <row r="15" spans="9:16" x14ac:dyDescent="0.25">
      <c r="I15" s="1">
        <v>212.9</v>
      </c>
      <c r="J15" s="45">
        <f xml:space="preserve"> (212.9+218.9)/2</f>
        <v>215.9</v>
      </c>
      <c r="L15" t="s">
        <v>27</v>
      </c>
      <c r="O15">
        <f>I19+1.5*453.3</f>
        <v>1308.25</v>
      </c>
      <c r="P15" t="s">
        <v>32</v>
      </c>
    </row>
    <row r="16" spans="9:16" x14ac:dyDescent="0.25">
      <c r="I16" s="1">
        <v>218.9</v>
      </c>
      <c r="J16" s="45"/>
    </row>
    <row r="17" spans="9:18" ht="23.25" x14ac:dyDescent="0.35">
      <c r="I17">
        <v>246.3</v>
      </c>
      <c r="P17" s="2"/>
    </row>
    <row r="18" spans="9:18" x14ac:dyDescent="0.25">
      <c r="I18">
        <v>314</v>
      </c>
    </row>
    <row r="19" spans="9:18" x14ac:dyDescent="0.25">
      <c r="I19" s="1">
        <v>628.29999999999995</v>
      </c>
      <c r="J19" s="4" t="s">
        <v>22</v>
      </c>
    </row>
    <row r="20" spans="9:18" x14ac:dyDescent="0.25">
      <c r="I20">
        <v>755</v>
      </c>
    </row>
    <row r="21" spans="9:18" x14ac:dyDescent="0.25">
      <c r="I21">
        <v>899.1</v>
      </c>
    </row>
    <row r="22" spans="9:18" x14ac:dyDescent="0.25">
      <c r="I22">
        <v>2015</v>
      </c>
    </row>
    <row r="26" spans="9:18" x14ac:dyDescent="0.25">
      <c r="K26" s="11" t="s">
        <v>28</v>
      </c>
      <c r="L26" s="11" t="s">
        <v>29</v>
      </c>
    </row>
    <row r="27" spans="9:18" x14ac:dyDescent="0.25">
      <c r="K27" s="3">
        <f>(I15+I16)/2</f>
        <v>215.9</v>
      </c>
      <c r="L27" s="3">
        <v>139.30000000000001</v>
      </c>
      <c r="N27" t="s">
        <v>16</v>
      </c>
      <c r="Q27" s="17">
        <f>(K27/L27)^(1/5)-1</f>
        <v>9.1591901989929392E-2</v>
      </c>
    </row>
    <row r="28" spans="9:18" x14ac:dyDescent="0.25">
      <c r="N28" t="s">
        <v>30</v>
      </c>
      <c r="Q28" t="s">
        <v>31</v>
      </c>
      <c r="R28" s="30">
        <f>(K27/L27)-1</f>
        <v>0.54989231873653965</v>
      </c>
    </row>
  </sheetData>
  <mergeCells count="1">
    <mergeCell ref="J15:J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6:T29"/>
  <sheetViews>
    <sheetView topLeftCell="A16" workbookViewId="0">
      <selection activeCell="S43" sqref="S43"/>
    </sheetView>
  </sheetViews>
  <sheetFormatPr defaultRowHeight="15" x14ac:dyDescent="0.25"/>
  <cols>
    <col min="9" max="9" width="15.42578125" customWidth="1"/>
    <col min="14" max="14" width="9.5703125" customWidth="1"/>
    <col min="15" max="15" width="13.85546875" customWidth="1"/>
  </cols>
  <sheetData>
    <row r="6" spans="9:20" x14ac:dyDescent="0.25">
      <c r="I6" s="15" t="s">
        <v>33</v>
      </c>
      <c r="J6" s="12" t="s">
        <v>36</v>
      </c>
      <c r="K6" s="12" t="s">
        <v>37</v>
      </c>
      <c r="L6" s="12" t="s">
        <v>39</v>
      </c>
    </row>
    <row r="7" spans="9:20" x14ac:dyDescent="0.25">
      <c r="I7" s="31">
        <v>133</v>
      </c>
      <c r="J7" s="32">
        <f>I7-$I$21</f>
        <v>-44</v>
      </c>
      <c r="K7" s="35">
        <f>J7^2</f>
        <v>1936</v>
      </c>
      <c r="L7" s="31">
        <f>J7^3</f>
        <v>-85184</v>
      </c>
      <c r="M7">
        <f>I20/13</f>
        <v>177</v>
      </c>
      <c r="N7">
        <f>_xlfn.CEILING.MATH(M7)</f>
        <v>177</v>
      </c>
      <c r="O7">
        <f>I7-$N$7</f>
        <v>-44</v>
      </c>
      <c r="P7">
        <f>O7^2</f>
        <v>1936</v>
      </c>
      <c r="Q7">
        <f>POWER(O7,2)</f>
        <v>1936</v>
      </c>
    </row>
    <row r="8" spans="9:20" x14ac:dyDescent="0.25">
      <c r="I8" s="32">
        <v>136</v>
      </c>
      <c r="J8" s="32">
        <f t="shared" ref="J8:J19" si="0">I8-$I$21</f>
        <v>-41</v>
      </c>
      <c r="K8" s="35">
        <f t="shared" ref="K8:K19" si="1">J8^2</f>
        <v>1681</v>
      </c>
      <c r="L8" s="32">
        <f t="shared" ref="L8:L19" si="2">J8^3</f>
        <v>-68921</v>
      </c>
      <c r="O8">
        <f t="shared" ref="O8:O19" si="3">I8-$N$7</f>
        <v>-41</v>
      </c>
      <c r="P8">
        <f t="shared" ref="P8:P19" si="4">O8^2</f>
        <v>1681</v>
      </c>
      <c r="Q8">
        <f t="shared" ref="Q8:Q19" si="5">POWER(O8,2)</f>
        <v>1681</v>
      </c>
    </row>
    <row r="9" spans="9:20" x14ac:dyDescent="0.25">
      <c r="I9" s="32">
        <v>144</v>
      </c>
      <c r="J9" s="32">
        <f t="shared" si="0"/>
        <v>-33</v>
      </c>
      <c r="K9" s="35">
        <f t="shared" si="1"/>
        <v>1089</v>
      </c>
      <c r="L9" s="32">
        <f t="shared" si="2"/>
        <v>-35937</v>
      </c>
      <c r="O9">
        <f t="shared" si="3"/>
        <v>-33</v>
      </c>
      <c r="P9">
        <f t="shared" si="4"/>
        <v>1089</v>
      </c>
      <c r="Q9">
        <f t="shared" si="5"/>
        <v>1089</v>
      </c>
      <c r="R9">
        <f>164-N7</f>
        <v>-13</v>
      </c>
    </row>
    <row r="10" spans="9:20" x14ac:dyDescent="0.25">
      <c r="I10" s="32">
        <v>166</v>
      </c>
      <c r="J10" s="32">
        <f t="shared" si="0"/>
        <v>-11</v>
      </c>
      <c r="K10" s="35">
        <f t="shared" si="1"/>
        <v>121</v>
      </c>
      <c r="L10" s="32">
        <f t="shared" si="2"/>
        <v>-1331</v>
      </c>
      <c r="O10">
        <f t="shared" si="3"/>
        <v>-11</v>
      </c>
      <c r="P10">
        <f t="shared" si="4"/>
        <v>121</v>
      </c>
      <c r="Q10">
        <f t="shared" si="5"/>
        <v>121</v>
      </c>
      <c r="R10">
        <f>R9/K23</f>
        <v>-0.42798939331919217</v>
      </c>
      <c r="S10" t="s">
        <v>0</v>
      </c>
      <c r="T10" t="s">
        <v>1</v>
      </c>
    </row>
    <row r="11" spans="9:20" x14ac:dyDescent="0.25">
      <c r="I11" s="32">
        <v>166</v>
      </c>
      <c r="J11" s="32">
        <f t="shared" si="0"/>
        <v>-11</v>
      </c>
      <c r="K11" s="35">
        <f t="shared" si="1"/>
        <v>121</v>
      </c>
      <c r="L11" s="32">
        <f t="shared" si="2"/>
        <v>-1331</v>
      </c>
      <c r="O11">
        <f t="shared" si="3"/>
        <v>-11</v>
      </c>
      <c r="P11">
        <f t="shared" si="4"/>
        <v>121</v>
      </c>
      <c r="Q11">
        <f t="shared" si="5"/>
        <v>121</v>
      </c>
      <c r="R11">
        <f>206-N7</f>
        <v>29</v>
      </c>
      <c r="S11" t="s">
        <v>2</v>
      </c>
    </row>
    <row r="12" spans="9:20" x14ac:dyDescent="0.25">
      <c r="I12" s="32">
        <v>168</v>
      </c>
      <c r="J12" s="32">
        <f t="shared" si="0"/>
        <v>-9</v>
      </c>
      <c r="K12" s="35">
        <f t="shared" si="1"/>
        <v>81</v>
      </c>
      <c r="L12" s="32">
        <f t="shared" si="2"/>
        <v>-729</v>
      </c>
      <c r="O12">
        <f t="shared" si="3"/>
        <v>-9</v>
      </c>
      <c r="P12">
        <f t="shared" si="4"/>
        <v>81</v>
      </c>
      <c r="Q12">
        <f t="shared" si="5"/>
        <v>81</v>
      </c>
      <c r="R12">
        <f>R11/K23</f>
        <v>0.95474556971204405</v>
      </c>
    </row>
    <row r="13" spans="9:20" x14ac:dyDescent="0.25">
      <c r="I13" s="32">
        <v>169</v>
      </c>
      <c r="J13" s="32">
        <f t="shared" si="0"/>
        <v>-8</v>
      </c>
      <c r="K13" s="35">
        <f t="shared" si="1"/>
        <v>64</v>
      </c>
      <c r="L13" s="32">
        <f t="shared" si="2"/>
        <v>-512</v>
      </c>
      <c r="O13">
        <f t="shared" si="3"/>
        <v>-8</v>
      </c>
      <c r="P13">
        <f t="shared" si="4"/>
        <v>64</v>
      </c>
      <c r="Q13">
        <f t="shared" si="5"/>
        <v>64</v>
      </c>
    </row>
    <row r="14" spans="9:20" x14ac:dyDescent="0.25">
      <c r="I14" s="32">
        <v>173</v>
      </c>
      <c r="J14" s="32">
        <f t="shared" si="0"/>
        <v>-4</v>
      </c>
      <c r="K14" s="35">
        <f t="shared" si="1"/>
        <v>16</v>
      </c>
      <c r="L14" s="32">
        <f t="shared" si="2"/>
        <v>-64</v>
      </c>
      <c r="O14">
        <f t="shared" si="3"/>
        <v>-4</v>
      </c>
      <c r="P14">
        <f t="shared" si="4"/>
        <v>16</v>
      </c>
      <c r="Q14">
        <f t="shared" si="5"/>
        <v>16</v>
      </c>
    </row>
    <row r="15" spans="9:20" x14ac:dyDescent="0.25">
      <c r="I15" s="32">
        <v>183</v>
      </c>
      <c r="J15" s="32">
        <f t="shared" si="0"/>
        <v>6</v>
      </c>
      <c r="K15" s="35">
        <f t="shared" si="1"/>
        <v>36</v>
      </c>
      <c r="L15" s="32">
        <f t="shared" si="2"/>
        <v>216</v>
      </c>
      <c r="O15">
        <f t="shared" si="3"/>
        <v>6</v>
      </c>
      <c r="P15">
        <f t="shared" si="4"/>
        <v>36</v>
      </c>
      <c r="Q15">
        <f t="shared" si="5"/>
        <v>36</v>
      </c>
      <c r="R15">
        <f>M7+1.65*(K23)</f>
        <v>227.11806445400086</v>
      </c>
    </row>
    <row r="16" spans="9:20" x14ac:dyDescent="0.25">
      <c r="I16" s="32">
        <v>195</v>
      </c>
      <c r="J16" s="32">
        <f t="shared" si="0"/>
        <v>18</v>
      </c>
      <c r="K16" s="35">
        <f t="shared" si="1"/>
        <v>324</v>
      </c>
      <c r="L16" s="32">
        <f t="shared" si="2"/>
        <v>5832</v>
      </c>
      <c r="O16">
        <f t="shared" si="3"/>
        <v>18</v>
      </c>
      <c r="P16">
        <f t="shared" si="4"/>
        <v>324</v>
      </c>
      <c r="Q16">
        <f t="shared" si="5"/>
        <v>324</v>
      </c>
    </row>
    <row r="17" spans="8:17" x14ac:dyDescent="0.25">
      <c r="I17" s="32">
        <v>215</v>
      </c>
      <c r="J17" s="32">
        <f t="shared" si="0"/>
        <v>38</v>
      </c>
      <c r="K17" s="35">
        <f t="shared" si="1"/>
        <v>1444</v>
      </c>
      <c r="L17" s="32">
        <f t="shared" si="2"/>
        <v>54872</v>
      </c>
      <c r="O17">
        <f t="shared" si="3"/>
        <v>38</v>
      </c>
      <c r="P17">
        <f t="shared" si="4"/>
        <v>1444</v>
      </c>
      <c r="Q17">
        <f t="shared" si="5"/>
        <v>1444</v>
      </c>
    </row>
    <row r="18" spans="8:17" x14ac:dyDescent="0.25">
      <c r="I18" s="32">
        <v>217</v>
      </c>
      <c r="J18" s="32">
        <f t="shared" si="0"/>
        <v>40</v>
      </c>
      <c r="K18" s="35">
        <f t="shared" si="1"/>
        <v>1600</v>
      </c>
      <c r="L18" s="32">
        <f t="shared" si="2"/>
        <v>64000</v>
      </c>
      <c r="O18">
        <f t="shared" si="3"/>
        <v>40</v>
      </c>
      <c r="P18">
        <f t="shared" si="4"/>
        <v>1600</v>
      </c>
      <c r="Q18">
        <f t="shared" si="5"/>
        <v>1600</v>
      </c>
    </row>
    <row r="19" spans="8:17" x14ac:dyDescent="0.25">
      <c r="I19" s="33">
        <v>236</v>
      </c>
      <c r="J19" s="33">
        <f t="shared" si="0"/>
        <v>59</v>
      </c>
      <c r="K19" s="36">
        <f t="shared" si="1"/>
        <v>3481</v>
      </c>
      <c r="L19" s="33">
        <f t="shared" si="2"/>
        <v>205379</v>
      </c>
      <c r="O19">
        <f t="shared" si="3"/>
        <v>59</v>
      </c>
      <c r="P19">
        <f t="shared" si="4"/>
        <v>3481</v>
      </c>
      <c r="Q19">
        <f t="shared" si="5"/>
        <v>3481</v>
      </c>
    </row>
    <row r="20" spans="8:17" x14ac:dyDescent="0.25">
      <c r="H20" s="11" t="s">
        <v>34</v>
      </c>
      <c r="I20" s="4">
        <f>SUM(I7:I19)</f>
        <v>2301</v>
      </c>
      <c r="K20" s="39">
        <f>SUM(K7:K19)</f>
        <v>11994</v>
      </c>
      <c r="L20" s="40">
        <f>SUM(L7:L19)</f>
        <v>136290</v>
      </c>
      <c r="P20">
        <f>SUM(P7:P19)</f>
        <v>11994</v>
      </c>
      <c r="Q20">
        <f>SUM(Q7:Q19)</f>
        <v>11994</v>
      </c>
    </row>
    <row r="21" spans="8:17" x14ac:dyDescent="0.25">
      <c r="H21" s="11" t="s">
        <v>35</v>
      </c>
      <c r="I21" s="4">
        <f>I20/13</f>
        <v>177</v>
      </c>
      <c r="K21" s="37"/>
      <c r="P21">
        <f>P20/13</f>
        <v>922.61538461538464</v>
      </c>
      <c r="Q21">
        <f>Q20/13</f>
        <v>922.61538461538464</v>
      </c>
    </row>
    <row r="22" spans="8:17" x14ac:dyDescent="0.25">
      <c r="H22" s="11" t="s">
        <v>38</v>
      </c>
      <c r="K22" s="34">
        <f>(K20/13)^(1/2)</f>
        <v>30.374584517576281</v>
      </c>
      <c r="P22">
        <f>P21^(1/2)</f>
        <v>30.374584517576281</v>
      </c>
      <c r="Q22">
        <f>SQRT(Q21)^3</f>
        <v>28024.058977216151</v>
      </c>
    </row>
    <row r="23" spans="8:17" x14ac:dyDescent="0.25">
      <c r="H23" s="38" t="s">
        <v>38</v>
      </c>
      <c r="K23" s="11">
        <f>STDEVPA(I7:I19)</f>
        <v>30.374584517576281</v>
      </c>
    </row>
    <row r="24" spans="8:17" x14ac:dyDescent="0.25">
      <c r="H24" s="38" t="s">
        <v>40</v>
      </c>
      <c r="L24" s="11">
        <f>(L20/13)/(K23^3)</f>
        <v>0.37410163040156419</v>
      </c>
    </row>
    <row r="28" spans="8:17" x14ac:dyDescent="0.25">
      <c r="H28" t="s">
        <v>41</v>
      </c>
      <c r="L28" t="s">
        <v>42</v>
      </c>
      <c r="N28" s="17">
        <f>(164-177)/K23</f>
        <v>-0.42798939331919217</v>
      </c>
      <c r="O28" s="42" t="s">
        <v>45</v>
      </c>
      <c r="P28" s="41">
        <v>0.33360000000000001</v>
      </c>
    </row>
    <row r="29" spans="8:17" x14ac:dyDescent="0.25">
      <c r="H29" t="s">
        <v>44</v>
      </c>
      <c r="J29">
        <f>1.65</f>
        <v>1.65</v>
      </c>
      <c r="L29" s="42" t="s">
        <v>43</v>
      </c>
      <c r="N29" s="43">
        <f>177+1.65*30.37</f>
        <v>227.1105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30:S72"/>
  <sheetViews>
    <sheetView tabSelected="1" topLeftCell="A40" workbookViewId="0">
      <selection activeCell="U73" sqref="U73"/>
    </sheetView>
  </sheetViews>
  <sheetFormatPr defaultRowHeight="15" x14ac:dyDescent="0.25"/>
  <cols>
    <col min="8" max="8" width="11.85546875" customWidth="1"/>
    <col min="18" max="18" width="10" customWidth="1"/>
  </cols>
  <sheetData>
    <row r="30" spans="8:10" x14ac:dyDescent="0.25">
      <c r="H30" t="s">
        <v>47</v>
      </c>
      <c r="I30" s="42" t="s">
        <v>46</v>
      </c>
    </row>
    <row r="31" spans="8:10" x14ac:dyDescent="0.25">
      <c r="H31" t="s">
        <v>48</v>
      </c>
      <c r="J31" s="42" t="s">
        <v>49</v>
      </c>
    </row>
    <row r="32" spans="8:10" x14ac:dyDescent="0.25">
      <c r="H32" t="s">
        <v>50</v>
      </c>
    </row>
    <row r="63" spans="8:8" x14ac:dyDescent="0.25">
      <c r="H63" s="44" t="s">
        <v>51</v>
      </c>
    </row>
    <row r="66" spans="8:19" x14ac:dyDescent="0.25">
      <c r="H66" t="s">
        <v>54</v>
      </c>
      <c r="I66">
        <f>9.1%</f>
        <v>9.0999999999999998E-2</v>
      </c>
      <c r="J66" t="s">
        <v>53</v>
      </c>
    </row>
    <row r="68" spans="8:19" x14ac:dyDescent="0.25">
      <c r="J68" t="s">
        <v>58</v>
      </c>
      <c r="R68" s="42" t="s">
        <v>55</v>
      </c>
      <c r="S68">
        <f>1-0.409</f>
        <v>0.59099999999999997</v>
      </c>
    </row>
    <row r="70" spans="8:19" x14ac:dyDescent="0.25">
      <c r="H70" t="s">
        <v>52</v>
      </c>
      <c r="J70" t="s">
        <v>57</v>
      </c>
    </row>
    <row r="72" spans="8:19" x14ac:dyDescent="0.25">
      <c r="J72" t="s">
        <v>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MC</vt:lpstr>
      <vt:lpstr>Esercizio 3</vt:lpstr>
      <vt:lpstr>Esercizio 4</vt:lpstr>
      <vt:lpstr>Esercizio 7</vt:lpstr>
      <vt:lpstr>Esercizio 6</vt:lpstr>
    </vt:vector>
  </TitlesOfParts>
  <Company>MBDA Italia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Longhi</dc:creator>
  <cp:lastModifiedBy>Silvia Longhi</cp:lastModifiedBy>
  <dcterms:created xsi:type="dcterms:W3CDTF">2023-04-22T19:29:42Z</dcterms:created>
  <dcterms:modified xsi:type="dcterms:W3CDTF">2023-04-27T12:56:08Z</dcterms:modified>
</cp:coreProperties>
</file>